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ZAMÓWIENIA PUBLICZNE\Postępowania 2025\21. ZPiOD.271.21.2025\02. SWZ\"/>
    </mc:Choice>
  </mc:AlternateContent>
  <xr:revisionPtr revIDLastSave="0" documentId="13_ncr:1_{37296F0A-D159-4944-AE33-7AD87E93AA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T10" i="1"/>
  <c r="T11" i="1"/>
  <c r="O10" i="1"/>
  <c r="O8" i="1"/>
  <c r="O11" i="1"/>
  <c r="O6" i="1"/>
  <c r="O7" i="1"/>
  <c r="T6" i="1"/>
  <c r="T7" i="1"/>
  <c r="T8" i="1"/>
  <c r="T9" i="1"/>
  <c r="S6" i="1"/>
  <c r="S7" i="1"/>
  <c r="S8" i="1"/>
  <c r="S9" i="1"/>
  <c r="S10" i="1"/>
  <c r="S11" i="1"/>
  <c r="O9" i="1"/>
  <c r="M6" i="1"/>
  <c r="M7" i="1"/>
  <c r="M8" i="1"/>
  <c r="M9" i="1"/>
  <c r="M10" i="1"/>
  <c r="M11" i="1"/>
  <c r="K6" i="1"/>
  <c r="K7" i="1"/>
  <c r="K8" i="1"/>
  <c r="K9" i="1"/>
  <c r="K10" i="1"/>
  <c r="K11" i="1"/>
  <c r="F8" i="1"/>
  <c r="Q8" i="1" s="1"/>
  <c r="F9" i="1"/>
  <c r="Q9" i="1" s="1"/>
  <c r="F10" i="1"/>
  <c r="Q10" i="1" s="1"/>
  <c r="F11" i="1"/>
  <c r="Q11" i="1" s="1"/>
  <c r="M5" i="1"/>
  <c r="F6" i="1"/>
  <c r="Q6" i="1" s="1"/>
  <c r="F7" i="1"/>
  <c r="Q7" i="1" s="1"/>
  <c r="F5" i="1"/>
  <c r="Q5" i="1" s="1"/>
  <c r="R6" i="1" l="1"/>
  <c r="R9" i="1"/>
  <c r="R7" i="1"/>
  <c r="R11" i="1"/>
  <c r="R10" i="1"/>
  <c r="R8" i="1"/>
  <c r="O5" i="1"/>
  <c r="R5" i="1" l="1"/>
  <c r="S5" i="1" l="1"/>
  <c r="S12" i="1" s="1"/>
  <c r="T5" i="1" l="1"/>
  <c r="T12" i="1" s="1"/>
</calcChain>
</file>

<file path=xl/sharedStrings.xml><?xml version="1.0" encoding="utf-8"?>
<sst xmlns="http://schemas.openxmlformats.org/spreadsheetml/2006/main" count="74" uniqueCount="59">
  <si>
    <t>Grupa taryfowa</t>
  </si>
  <si>
    <t>Liczba punktów poboru</t>
  </si>
  <si>
    <t>Liczba miesięcy</t>
  </si>
  <si>
    <t>Liczba dni</t>
  </si>
  <si>
    <t>Oddział dystrybucji</t>
  </si>
  <si>
    <t>Cena za gaz (zł netto)</t>
  </si>
  <si>
    <t>CENA OFERTY 
(zł netto)</t>
  </si>
  <si>
    <t>CENA OFERTY 
(zł brutto)</t>
  </si>
  <si>
    <t>(suma kol. 13 
+ kol. 18)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</si>
  <si>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</si>
  <si>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</si>
  <si>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</si>
  <si>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</si>
  <si>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</si>
  <si>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</si>
  <si>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</si>
  <si>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</si>
  <si>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</si>
  <si>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-10-</t>
  </si>
  <si>
    <t>-11-</t>
  </si>
  <si>
    <t>-12-</t>
  </si>
  <si>
    <t>-13-</t>
  </si>
  <si>
    <t>-14-</t>
  </si>
  <si>
    <t>-15-</t>
  </si>
  <si>
    <t>-16-</t>
  </si>
  <si>
    <t>-17-</t>
  </si>
  <si>
    <t>-18-</t>
  </si>
  <si>
    <t>-19-</t>
  </si>
  <si>
    <t>-20-</t>
  </si>
  <si>
    <t>nd.</t>
  </si>
  <si>
    <t>W-2.1</t>
  </si>
  <si>
    <t>W-3.6</t>
  </si>
  <si>
    <t>W-4</t>
  </si>
  <si>
    <t>W-5.1</t>
  </si>
  <si>
    <t>SUMA:</t>
  </si>
  <si>
    <t xml:space="preserve"> Formularz cenowy</t>
  </si>
  <si>
    <t>PSG Sp. z o.o. w Tarnowie</t>
  </si>
  <si>
    <t>** Rozliczenia kosztów dystrybucji będą prowadzone zgodnie z taryfą OSD</t>
  </si>
  <si>
    <t>Cena za usługi dystrybucyjne (zł netto)**</t>
  </si>
  <si>
    <t>* Stawkę podatku akcyzowego 1,38 zł/GJ, która ma zostosowanie dla części zużycia paliwagazowego przeznaczonej na cele opałowe
(z wyłączeniem celów objętych zwolnieniem), przeliczono na gr/kWh zgodnie z obowiązującymi zasadami (art.. 89 ust. 1 pkt 13 oraz art. 88 ust. 7 pkt 4 lit. a ustawy o podatku akcyzowym) oraz przyjmując wartość ciepła spalania 39,5 MJ/m3.</t>
  </si>
  <si>
    <r>
      <t xml:space="preserve">Moc umowna
</t>
    </r>
    <r>
      <rPr>
        <sz val="10"/>
        <rFont val="Calibri"/>
        <family val="2"/>
        <charset val="238"/>
        <scheme val="minor"/>
      </rPr>
      <t>(kWh/h)</t>
    </r>
  </si>
  <si>
    <r>
      <rPr>
        <b/>
        <sz val="10"/>
        <rFont val="Calibri"/>
        <family val="2"/>
        <charset val="238"/>
        <scheme val="minor"/>
      </rPr>
      <t>Szacunkowe zapotrzebowanie na paliwo gazowe zwolnione 
z akcyzy</t>
    </r>
    <r>
      <rPr>
        <sz val="10"/>
        <rFont val="Calibri"/>
        <family val="2"/>
        <charset val="238"/>
        <scheme val="minor"/>
      </rPr>
      <t xml:space="preserve"> 
(kWh)</t>
    </r>
  </si>
  <si>
    <r>
      <rPr>
        <b/>
        <sz val="10"/>
        <rFont val="Calibri"/>
        <family val="2"/>
        <charset val="238"/>
        <scheme val="minor"/>
      </rPr>
      <t>Szacunkowe zapotrzebowanie na paliwo gazowe opodatkowane akcyzą 1,28 zł/GJ</t>
    </r>
    <r>
      <rPr>
        <sz val="10"/>
        <rFont val="Calibri"/>
        <family val="2"/>
        <charset val="238"/>
        <scheme val="minor"/>
      </rPr>
      <t xml:space="preserve">
(kWh)</t>
    </r>
  </si>
  <si>
    <r>
      <rPr>
        <b/>
        <sz val="10"/>
        <rFont val="Calibri"/>
        <family val="2"/>
        <charset val="238"/>
        <scheme val="minor"/>
      </rPr>
      <t>Szacunkowe zapotrzebowanie na paliwo gazowe łącznie</t>
    </r>
    <r>
      <rPr>
        <sz val="10"/>
        <rFont val="Calibri"/>
        <family val="2"/>
        <charset val="238"/>
        <scheme val="minor"/>
      </rPr>
      <t xml:space="preserve"> 
(kWh)</t>
    </r>
  </si>
  <si>
    <r>
      <rPr>
        <b/>
        <sz val="10"/>
        <rFont val="Calibri"/>
        <family val="2"/>
        <charset val="238"/>
        <scheme val="minor"/>
      </rPr>
      <t xml:space="preserve">Cena jednostkowa za gaz bez akcyzy
</t>
    </r>
    <r>
      <rPr>
        <sz val="9"/>
        <rFont val="Calibri"/>
        <family val="2"/>
        <charset val="238"/>
        <scheme val="minor"/>
      </rPr>
      <t>(gr/kWh)</t>
    </r>
    <r>
      <rPr>
        <sz val="10"/>
        <rFont val="Calibri"/>
        <family val="2"/>
        <charset val="238"/>
        <scheme val="minor"/>
      </rPr>
      <t xml:space="preserve">
</t>
    </r>
    <r>
      <rPr>
        <i/>
        <sz val="9"/>
        <rFont val="Calibri"/>
        <family val="2"/>
        <charset val="238"/>
        <scheme val="minor"/>
      </rPr>
      <t>(z dokładnością 
do 3 miejsc 
po przecinku)</t>
    </r>
  </si>
  <si>
    <r>
      <t xml:space="preserve">Cena jednostkowa za gaz z akcyzą 1,38 zł/GJ*
</t>
    </r>
    <r>
      <rPr>
        <sz val="9"/>
        <rFont val="Calibri"/>
        <family val="2"/>
        <charset val="238"/>
        <scheme val="minor"/>
      </rPr>
      <t>(gr/kWh)
(kol. 10 + 0,390)</t>
    </r>
  </si>
  <si>
    <r>
      <rPr>
        <b/>
        <sz val="10"/>
        <rFont val="Calibri"/>
        <family val="2"/>
        <charset val="238"/>
        <scheme val="minor"/>
      </rPr>
      <t>Abonament</t>
    </r>
    <r>
      <rPr>
        <sz val="10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 xml:space="preserve">(zł/m-c)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</si>
  <si>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r>
      <rPr>
        <b/>
        <sz val="10"/>
        <rFont val="Calibri"/>
        <family val="2"/>
        <charset val="238"/>
        <scheme val="minor"/>
      </rPr>
      <t xml:space="preserve">Łącznie
</t>
    </r>
    <r>
      <rPr>
        <sz val="10"/>
        <rFont val="Calibri"/>
        <family val="2"/>
        <charset val="238"/>
        <scheme val="minor"/>
      </rPr>
      <t xml:space="preserve">(zł)
</t>
    </r>
    <r>
      <rPr>
        <sz val="9"/>
        <rFont val="Calibri"/>
        <family val="2"/>
        <charset val="238"/>
        <scheme val="minor"/>
      </rPr>
      <t xml:space="preserve">(kol. 4 × kol. 10) /100 + (kol. 5 × kol. 11) /100 + (kol. 2 × kol. 7 × kol. 12)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</si>
  <si>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10"/>
        <rFont val="Calibri"/>
        <family val="2"/>
        <charset val="238"/>
        <scheme val="minor"/>
      </rPr>
      <t xml:space="preserve">Stawka opłaty stałej </t>
    </r>
    <r>
      <rPr>
        <sz val="10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a) (zł/m-c) 
dla grup taryfowych z ozn. 
W-1, W-2, W-3, W-4
b) (gr/(kWh/h) za h) 
dla grup taryfowych z ozn. 
W-5, W-6, W-7</t>
    </r>
  </si>
  <si>
    <r>
      <rPr>
        <b/>
        <sz val="10"/>
        <rFont val="Calibri"/>
        <family val="2"/>
        <charset val="238"/>
        <scheme val="minor"/>
      </rPr>
      <t xml:space="preserve">Łącznie opłata stała
</t>
    </r>
    <r>
      <rPr>
        <sz val="9"/>
        <rFont val="Calibri"/>
        <family val="2"/>
        <charset val="238"/>
        <scheme val="minor"/>
      </rPr>
      <t xml:space="preserve">(zł)
a) (kol. 2 × kol. 7 × kol. 14) 
dla grup taryfowych z ozn.
W-1, W-2, W-3, W-4
b) (kol. 3 × kol. 8 × 24 h × kol. 14) /100 
dla grup taryfowych z ozn.
W-5, W-6, W-7
</t>
    </r>
    <r>
      <rPr>
        <i/>
        <sz val="9"/>
        <rFont val="Calibri"/>
        <family val="2"/>
        <charset val="238"/>
        <scheme val="minor"/>
      </rPr>
      <t xml:space="preserve">
(zaokrąglenie do 2 
miejsc po przecinku</t>
    </r>
    <r>
      <rPr>
        <i/>
        <sz val="10"/>
        <rFont val="Calibri"/>
        <family val="2"/>
        <charset val="238"/>
        <scheme val="minor"/>
      </rPr>
      <t>)</t>
    </r>
  </si>
  <si>
    <r>
      <t xml:space="preserve">Stawka opłaty zmiennej 
</t>
    </r>
    <r>
      <rPr>
        <sz val="9"/>
        <rFont val="Calibri"/>
        <family val="2"/>
        <charset val="238"/>
        <scheme val="minor"/>
      </rPr>
      <t>(gr/kWh)</t>
    </r>
  </si>
  <si>
    <r>
      <rPr>
        <b/>
        <sz val="10"/>
        <rFont val="Calibri"/>
        <family val="2"/>
        <charset val="238"/>
        <scheme val="minor"/>
      </rPr>
      <t xml:space="preserve">Łącznie opłata zmienna
</t>
    </r>
    <r>
      <rPr>
        <sz val="9"/>
        <rFont val="Calibri"/>
        <family val="2"/>
        <charset val="238"/>
        <scheme val="minor"/>
      </rPr>
      <t xml:space="preserve">(zł)
(kol. 6 × kol. 16)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</si>
  <si>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10"/>
        <rFont val="Calibri"/>
        <family val="2"/>
        <charset val="238"/>
        <scheme val="minor"/>
      </rPr>
      <t>Łącznie usługi dystrybucyjne</t>
    </r>
    <r>
      <rPr>
        <sz val="10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(zł)
(kol. 15 + kol. 17)</t>
    </r>
  </si>
  <si>
    <r>
      <t xml:space="preserve">(kol. 19) + podatek VAT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</si>
  <si>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t>W-3.6***</t>
  </si>
  <si>
    <t>W-4***</t>
  </si>
  <si>
    <t>W-5.1***</t>
  </si>
  <si>
    <t>*** wolumen podlegającyh ochronie taryfowej</t>
  </si>
  <si>
    <t>elektroniczny podpis osoby/osób uprawnionych do występowania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</si>
</sst>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44">
    <xf numFmtId="0" fontId="0" fillId="0" borderId="0" xfId="0"/>
    <xf numFmtId="0" fontId="4" fillId="0" borderId="0" xfId="0" applyFont="1"/>
    <xf numFmtId="0" fontId="7" fillId="0" borderId="0" xfId="0" applyFont="1"/>
    <xf numFmtId="14" fontId="4" fillId="0" borderId="0" xfId="0" applyNumberFormat="1" applyFont="1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 vertical="top"/>
    </xf>
    <xf numFmtId="0" fontId="4" fillId="0" borderId="0" xfId="0" applyFont="1" applyAlignment="1">
      <alignment horizontal="centerContinuous"/>
    </xf>
    <xf numFmtId="0" fontId="9" fillId="2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/>
    </xf>
    <xf numFmtId="3" fontId="10" fillId="0" borderId="1" xfId="1" applyNumberFormat="1" applyFont="1" applyBorder="1" applyAlignment="1">
      <alignment horizontal="center" vertical="center"/>
    </xf>
    <xf numFmtId="165" fontId="10" fillId="3" borderId="1" xfId="1" applyNumberFormat="1" applyFont="1" applyFill="1" applyBorder="1" applyAlignment="1" applyProtection="1">
      <alignment horizontal="center" vertical="center"/>
      <protection locked="0"/>
    </xf>
    <xf numFmtId="165" fontId="10" fillId="0" borderId="1" xfId="1" applyNumberFormat="1" applyFont="1" applyBorder="1" applyAlignment="1">
      <alignment horizontal="center" vertical="center"/>
    </xf>
    <xf numFmtId="4" fontId="10" fillId="3" borderId="1" xfId="1" applyNumberFormat="1" applyFont="1" applyFill="1" applyBorder="1" applyAlignment="1" applyProtection="1">
      <alignment horizontal="center" vertical="center"/>
      <protection locked="0"/>
    </xf>
    <xf numFmtId="4" fontId="9" fillId="0" borderId="1" xfId="1" applyNumberFormat="1" applyFon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0" fontId="10" fillId="0" borderId="0" xfId="1" applyFont="1"/>
    <xf numFmtId="3" fontId="10" fillId="0" borderId="0" xfId="1" applyNumberFormat="1" applyFont="1"/>
    <xf numFmtId="0" fontId="9" fillId="0" borderId="0" xfId="1" applyFont="1" applyAlignment="1">
      <alignment horizontal="center" vertical="center"/>
    </xf>
    <xf numFmtId="4" fontId="10" fillId="0" borderId="0" xfId="1" applyNumberFormat="1" applyFont="1"/>
    <xf numFmtId="4" fontId="4" fillId="0" borderId="0" xfId="0" applyNumberFormat="1" applyFont="1"/>
    <xf numFmtId="0" fontId="14" fillId="0" borderId="0" xfId="0" applyFont="1"/>
    <xf numFmtId="4" fontId="4" fillId="0" borderId="0" xfId="0" applyNumberFormat="1" applyFont="1" applyProtection="1">
      <protection locked="0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/>
    </xf>
    <xf numFmtId="0" fontId="4" fillId="0" borderId="7" xfId="0" applyFont="1" applyBorder="1"/>
    <xf numFmtId="0" fontId="15" fillId="0" borderId="7" xfId="0" applyFont="1" applyBorder="1" applyAlignment="1">
      <alignment horizontal="center" vertical="center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/>
      <protection locked="0"/>
    </xf>
    <xf numFmtId="0" fontId="12" fillId="0" borderId="0" xfId="1" applyFont="1" applyAlignment="1">
      <alignment horizontal="justify" vertical="center" wrapText="1"/>
    </xf>
    <xf numFmtId="0" fontId="9" fillId="2" borderId="4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8" fillId="3" borderId="4" xfId="1" applyFont="1" applyFill="1" applyBorder="1" applyAlignment="1">
      <alignment horizontal="center" vertical="center"/>
    </xf>
    <xf numFmtId="0" fontId="8" fillId="3" borderId="5" xfId="1" applyFont="1" applyFill="1" applyBorder="1" applyAlignment="1">
      <alignment horizontal="center" vertical="center"/>
    </xf>
    <xf numFmtId="0" fontId="8" fillId="3" borderId="6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</cellXfs>
  <cellStyles count="7">
    <cellStyle name="Normalny" xfId="0" builtinId="0"/>
    <cellStyle name="Normalny 2" xfId="2" xr:uid="{00000000-0005-0000-0000-000001000000}"/>
    <cellStyle name="Normalny 3" xfId="3" xr:uid="{00000000-0005-0000-0000-000002000000}"/>
    <cellStyle name="Normalny 4" xfId="4" xr:uid="{00000000-0005-0000-0000-000003000000}"/>
    <cellStyle name="Normalny 5" xfId="5" xr:uid="{00000000-0005-0000-0000-000004000000}"/>
    <cellStyle name="Normalny 6" xfId="6" xr:uid="{00000000-0005-0000-0000-000005000000}"/>
    <cellStyle name="Normalny 7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"/>
  <sheetViews>
    <sheetView tabSelected="1" showWhiteSpace="0" topLeftCell="B4" zoomScaleNormal="100" workbookViewId="0">
      <selection activeCell="K5" sqref="K5"/>
    </sheetView>
  </sheetViews>
  <sheetFormatPr defaultRowHeight="15"/>
  <cols>
    <col min="1" max="1" width="8.625" style="1" customWidth="1"/>
    <col min="2" max="3" width="9" style="1"/>
    <col min="4" max="4" width="13.375" style="1" customWidth="1"/>
    <col min="5" max="5" width="12.875" style="1" customWidth="1"/>
    <col min="6" max="6" width="12.5" style="1" customWidth="1"/>
    <col min="7" max="7" width="8.75" style="1" customWidth="1"/>
    <col min="8" max="8" width="6.5" style="1" customWidth="1"/>
    <col min="9" max="9" width="10.75" style="1" customWidth="1"/>
    <col min="10" max="13" width="13.25" style="1" customWidth="1"/>
    <col min="14" max="14" width="18.25" style="1" customWidth="1"/>
    <col min="15" max="15" width="18.375" style="1" customWidth="1"/>
    <col min="16" max="16" width="9.125" style="1" customWidth="1"/>
    <col min="17" max="18" width="11.75" style="1" customWidth="1"/>
    <col min="19" max="20" width="12.5" style="1" customWidth="1"/>
    <col min="21" max="16384" width="9" style="1"/>
  </cols>
  <sheetData>
    <row r="1" spans="1:20" ht="34.5" customHeight="1">
      <c r="A1" s="37" t="s">
        <v>35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0" ht="42" customHeight="1">
      <c r="A2" s="40" t="s">
        <v>0</v>
      </c>
      <c r="B2" s="40" t="s">
        <v>1</v>
      </c>
      <c r="C2" s="40" t="s">
        <v>40</v>
      </c>
      <c r="D2" s="42" t="s">
        <v>41</v>
      </c>
      <c r="E2" s="42" t="s">
        <v>42</v>
      </c>
      <c r="F2" s="42" t="s">
        <v>43</v>
      </c>
      <c r="G2" s="40" t="s">
        <v>2</v>
      </c>
      <c r="H2" s="40" t="s">
        <v>3</v>
      </c>
      <c r="I2" s="40" t="s">
        <v>4</v>
      </c>
      <c r="J2" s="34" t="s">
        <v>5</v>
      </c>
      <c r="K2" s="35"/>
      <c r="L2" s="35"/>
      <c r="M2" s="36"/>
      <c r="N2" s="34" t="s">
        <v>38</v>
      </c>
      <c r="O2" s="35"/>
      <c r="P2" s="35"/>
      <c r="Q2" s="35"/>
      <c r="R2" s="36"/>
      <c r="S2" s="7" t="s">
        <v>6</v>
      </c>
      <c r="T2" s="7" t="s">
        <v>7</v>
      </c>
    </row>
    <row r="3" spans="1:20" ht="205.5" customHeight="1">
      <c r="A3" s="41"/>
      <c r="B3" s="41"/>
      <c r="C3" s="41"/>
      <c r="D3" s="43"/>
      <c r="E3" s="43"/>
      <c r="F3" s="43"/>
      <c r="G3" s="41"/>
      <c r="H3" s="41"/>
      <c r="I3" s="41"/>
      <c r="J3" s="8" t="s">
        <v>44</v>
      </c>
      <c r="K3" s="9" t="s">
        <v>45</v>
      </c>
      <c r="L3" s="8" t="s">
        <v>46</v>
      </c>
      <c r="M3" s="8" t="s">
        <v>47</v>
      </c>
      <c r="N3" s="8" t="s">
        <v>48</v>
      </c>
      <c r="O3" s="8" t="s">
        <v>49</v>
      </c>
      <c r="P3" s="9" t="s">
        <v>50</v>
      </c>
      <c r="Q3" s="8" t="s">
        <v>51</v>
      </c>
      <c r="R3" s="8" t="s">
        <v>52</v>
      </c>
      <c r="S3" s="10" t="s">
        <v>8</v>
      </c>
      <c r="T3" s="10" t="s">
        <v>53</v>
      </c>
    </row>
    <row r="4" spans="1:20">
      <c r="A4" s="11" t="s">
        <v>9</v>
      </c>
      <c r="B4" s="11" t="s">
        <v>10</v>
      </c>
      <c r="C4" s="11" t="s">
        <v>11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17</v>
      </c>
      <c r="J4" s="11" t="s">
        <v>18</v>
      </c>
      <c r="K4" s="11" t="s">
        <v>19</v>
      </c>
      <c r="L4" s="11" t="s">
        <v>20</v>
      </c>
      <c r="M4" s="11" t="s">
        <v>21</v>
      </c>
      <c r="N4" s="11" t="s">
        <v>22</v>
      </c>
      <c r="O4" s="11" t="s">
        <v>23</v>
      </c>
      <c r="P4" s="11" t="s">
        <v>24</v>
      </c>
      <c r="Q4" s="11" t="s">
        <v>25</v>
      </c>
      <c r="R4" s="11" t="s">
        <v>26</v>
      </c>
      <c r="S4" s="11" t="s">
        <v>27</v>
      </c>
      <c r="T4" s="11" t="s">
        <v>28</v>
      </c>
    </row>
    <row r="5" spans="1:20" ht="43.5" customHeight="1">
      <c r="A5" s="11" t="s">
        <v>30</v>
      </c>
      <c r="B5" s="11">
        <v>3</v>
      </c>
      <c r="C5" s="12" t="s">
        <v>29</v>
      </c>
      <c r="D5" s="13">
        <v>67997</v>
      </c>
      <c r="E5" s="14">
        <v>0</v>
      </c>
      <c r="F5" s="13">
        <f>ROUND(D5+E5,0)</f>
        <v>67997</v>
      </c>
      <c r="G5" s="14">
        <v>24</v>
      </c>
      <c r="H5" s="14" t="s">
        <v>29</v>
      </c>
      <c r="I5" s="8" t="s">
        <v>36</v>
      </c>
      <c r="J5" s="15"/>
      <c r="K5" s="16" t="str">
        <f>IF(ROUND(J5,3)=0,"",ROUND(J5,3)+0.39)</f>
        <v/>
      </c>
      <c r="L5" s="17"/>
      <c r="M5" s="18" t="str">
        <f>IF(ROUND(J5,3)&gt;0,ROUND(D5*ROUND(J5,3)/100+E5*K5/100+ROUND(L5,2)*G5*B5,2),"")</f>
        <v/>
      </c>
      <c r="N5" s="19">
        <v>14.59</v>
      </c>
      <c r="O5" s="18">
        <f>ROUND(IF(C5="nd.",B5*N5*G5,(H5*24*C5*N5)/100),2)</f>
        <v>1050.48</v>
      </c>
      <c r="P5" s="16">
        <v>6.1369999999999996</v>
      </c>
      <c r="Q5" s="18">
        <f>ROUND(F5*P5/100,2)</f>
        <v>4172.9799999999996</v>
      </c>
      <c r="R5" s="18">
        <f>O5+Q5</f>
        <v>5223.4599999999991</v>
      </c>
      <c r="S5" s="18" t="str">
        <f>IF(J5&gt;0,M5+R5,"")</f>
        <v/>
      </c>
      <c r="T5" s="18" t="str">
        <f>IF(J5&gt;0,ROUND(S5*1.23,2),"")</f>
        <v/>
      </c>
    </row>
    <row r="6" spans="1:20" ht="43.5" customHeight="1">
      <c r="A6" s="11" t="s">
        <v>31</v>
      </c>
      <c r="B6" s="11">
        <v>14</v>
      </c>
      <c r="C6" s="12" t="s">
        <v>29</v>
      </c>
      <c r="D6" s="13">
        <v>911193</v>
      </c>
      <c r="E6" s="14">
        <v>318753</v>
      </c>
      <c r="F6" s="13">
        <f t="shared" ref="F6:F11" si="0">ROUND(D6+E6,0)</f>
        <v>1229946</v>
      </c>
      <c r="G6" s="14">
        <v>24</v>
      </c>
      <c r="H6" s="14" t="s">
        <v>29</v>
      </c>
      <c r="I6" s="8" t="s">
        <v>36</v>
      </c>
      <c r="J6" s="15"/>
      <c r="K6" s="16" t="str">
        <f t="shared" ref="K6:K11" si="1">IF(ROUND(J6,3)=0,"",ROUND(J6,3)+0.39)</f>
        <v/>
      </c>
      <c r="L6" s="17"/>
      <c r="M6" s="18" t="str">
        <f t="shared" ref="M6:M11" si="2">IF(ROUND(J6,3)&gt;0,ROUND(D6*ROUND(J6,3)/100+E6*K6/100+ROUND(L6,2)*G6*B6,2),"")</f>
        <v/>
      </c>
      <c r="N6" s="19">
        <v>56.37</v>
      </c>
      <c r="O6" s="18">
        <f>ROUND(IF(C6="nd.",B6*N6*G6,(H6*24*C6*N6)/100),2)</f>
        <v>18940.32</v>
      </c>
      <c r="P6" s="16">
        <v>4.6020000000000003</v>
      </c>
      <c r="Q6" s="18">
        <f t="shared" ref="Q6:Q11" si="3">ROUND(F6*P6/100,2)</f>
        <v>56602.11</v>
      </c>
      <c r="R6" s="18">
        <f t="shared" ref="R6:R11" si="4">O6+Q6</f>
        <v>75542.429999999993</v>
      </c>
      <c r="S6" s="18" t="str">
        <f t="shared" ref="S6:S11" si="5">IF(J6&gt;0,M6+R6,"")</f>
        <v/>
      </c>
      <c r="T6" s="18" t="str">
        <f t="shared" ref="T6:T9" si="6">IF(J6&gt;0,ROUND(S6*1.23,2),"")</f>
        <v/>
      </c>
    </row>
    <row r="7" spans="1:20" ht="43.5" customHeight="1">
      <c r="A7" s="11" t="s">
        <v>32</v>
      </c>
      <c r="B7" s="11">
        <v>2</v>
      </c>
      <c r="C7" s="12" t="s">
        <v>29</v>
      </c>
      <c r="D7" s="13">
        <v>726295</v>
      </c>
      <c r="E7" s="14">
        <v>0</v>
      </c>
      <c r="F7" s="13">
        <f t="shared" si="0"/>
        <v>726295</v>
      </c>
      <c r="G7" s="14">
        <v>24</v>
      </c>
      <c r="H7" s="14" t="s">
        <v>29</v>
      </c>
      <c r="I7" s="8" t="s">
        <v>36</v>
      </c>
      <c r="J7" s="15"/>
      <c r="K7" s="16" t="str">
        <f t="shared" si="1"/>
        <v/>
      </c>
      <c r="L7" s="17"/>
      <c r="M7" s="18" t="str">
        <f t="shared" si="2"/>
        <v/>
      </c>
      <c r="N7" s="19">
        <v>314.86</v>
      </c>
      <c r="O7" s="18">
        <f>ROUND(IF(C7="nd.",B7*N7*G7,(H7*24*C7*N7)/100),2)</f>
        <v>15113.28</v>
      </c>
      <c r="P7" s="16">
        <v>4.5090000000000003</v>
      </c>
      <c r="Q7" s="18">
        <f t="shared" si="3"/>
        <v>32748.639999999999</v>
      </c>
      <c r="R7" s="18">
        <f t="shared" si="4"/>
        <v>47861.919999999998</v>
      </c>
      <c r="S7" s="18" t="str">
        <f t="shared" si="5"/>
        <v/>
      </c>
      <c r="T7" s="18" t="str">
        <f t="shared" si="6"/>
        <v/>
      </c>
    </row>
    <row r="8" spans="1:20" ht="43.5" customHeight="1">
      <c r="A8" s="11" t="s">
        <v>33</v>
      </c>
      <c r="B8" s="11">
        <v>3</v>
      </c>
      <c r="C8" s="12">
        <v>878</v>
      </c>
      <c r="D8" s="13">
        <v>252650</v>
      </c>
      <c r="E8" s="14">
        <v>2609983</v>
      </c>
      <c r="F8" s="13">
        <f t="shared" si="0"/>
        <v>2862633</v>
      </c>
      <c r="G8" s="14">
        <v>24</v>
      </c>
      <c r="H8" s="14">
        <v>731</v>
      </c>
      <c r="I8" s="8" t="s">
        <v>36</v>
      </c>
      <c r="J8" s="15"/>
      <c r="K8" s="16" t="str">
        <f t="shared" si="1"/>
        <v/>
      </c>
      <c r="L8" s="17"/>
      <c r="M8" s="18" t="str">
        <f t="shared" si="2"/>
        <v/>
      </c>
      <c r="N8" s="16">
        <v>0.81599999999999995</v>
      </c>
      <c r="O8" s="18">
        <f>ROUND(IF(C8="nd.",B8*N8*G8,(H8*24*C8*N8)/100),2)</f>
        <v>125693.64</v>
      </c>
      <c r="P8" s="16">
        <v>4.0890000000000004</v>
      </c>
      <c r="Q8" s="18">
        <f t="shared" si="3"/>
        <v>117053.06</v>
      </c>
      <c r="R8" s="18">
        <f t="shared" si="4"/>
        <v>242746.7</v>
      </c>
      <c r="S8" s="18" t="str">
        <f t="shared" si="5"/>
        <v/>
      </c>
      <c r="T8" s="18" t="str">
        <f t="shared" si="6"/>
        <v/>
      </c>
    </row>
    <row r="9" spans="1:20" ht="43.5" customHeight="1">
      <c r="A9" s="11" t="s">
        <v>54</v>
      </c>
      <c r="B9" s="11">
        <v>5</v>
      </c>
      <c r="C9" s="12" t="s">
        <v>29</v>
      </c>
      <c r="D9" s="13">
        <v>305228</v>
      </c>
      <c r="E9" s="14">
        <v>336222</v>
      </c>
      <c r="F9" s="13">
        <f t="shared" si="0"/>
        <v>641450</v>
      </c>
      <c r="G9" s="14">
        <v>24</v>
      </c>
      <c r="H9" s="14" t="s">
        <v>29</v>
      </c>
      <c r="I9" s="8" t="s">
        <v>36</v>
      </c>
      <c r="J9" s="15"/>
      <c r="K9" s="16" t="str">
        <f t="shared" si="1"/>
        <v/>
      </c>
      <c r="L9" s="17"/>
      <c r="M9" s="18" t="str">
        <f t="shared" si="2"/>
        <v/>
      </c>
      <c r="N9" s="19">
        <v>56.37</v>
      </c>
      <c r="O9" s="18">
        <f t="shared" ref="O9" si="7">ROUND(IF(C9="nd.",B9*N9*G9,(H9*24*C9*N9)/100),2)</f>
        <v>6764.4</v>
      </c>
      <c r="P9" s="16">
        <v>4.6020000000000003</v>
      </c>
      <c r="Q9" s="18">
        <f t="shared" si="3"/>
        <v>29519.53</v>
      </c>
      <c r="R9" s="18">
        <f t="shared" si="4"/>
        <v>36283.93</v>
      </c>
      <c r="S9" s="18" t="str">
        <f t="shared" si="5"/>
        <v/>
      </c>
      <c r="T9" s="18" t="str">
        <f t="shared" si="6"/>
        <v/>
      </c>
    </row>
    <row r="10" spans="1:20" ht="43.5" customHeight="1">
      <c r="A10" s="11" t="s">
        <v>55</v>
      </c>
      <c r="B10" s="11">
        <v>3</v>
      </c>
      <c r="C10" s="12" t="s">
        <v>29</v>
      </c>
      <c r="D10" s="13">
        <v>839141</v>
      </c>
      <c r="E10" s="14">
        <v>0</v>
      </c>
      <c r="F10" s="13">
        <f t="shared" si="0"/>
        <v>839141</v>
      </c>
      <c r="G10" s="14">
        <v>24</v>
      </c>
      <c r="H10" s="14" t="s">
        <v>29</v>
      </c>
      <c r="I10" s="8" t="s">
        <v>36</v>
      </c>
      <c r="J10" s="15"/>
      <c r="K10" s="16" t="str">
        <f t="shared" si="1"/>
        <v/>
      </c>
      <c r="L10" s="17"/>
      <c r="M10" s="18" t="str">
        <f t="shared" si="2"/>
        <v/>
      </c>
      <c r="N10" s="19">
        <v>314.86</v>
      </c>
      <c r="O10" s="18">
        <f>ROUND(IF(C10="nd.",B10*N10*G10,(H10*24*C10*N10)/100),2)</f>
        <v>22669.919999999998</v>
      </c>
      <c r="P10" s="16">
        <v>4.5090000000000003</v>
      </c>
      <c r="Q10" s="18">
        <f t="shared" si="3"/>
        <v>37836.870000000003</v>
      </c>
      <c r="R10" s="18">
        <f t="shared" si="4"/>
        <v>60506.79</v>
      </c>
      <c r="S10" s="18" t="str">
        <f t="shared" si="5"/>
        <v/>
      </c>
      <c r="T10" s="18" t="str">
        <f>IF(J10&gt;0,ROUND(S10*1.23,2),"")</f>
        <v/>
      </c>
    </row>
    <row r="11" spans="1:20" ht="43.5" customHeight="1">
      <c r="A11" s="11" t="s">
        <v>56</v>
      </c>
      <c r="B11" s="11">
        <v>4</v>
      </c>
      <c r="C11" s="12">
        <v>801</v>
      </c>
      <c r="D11" s="13">
        <v>2451360</v>
      </c>
      <c r="E11" s="14">
        <v>0</v>
      </c>
      <c r="F11" s="13">
        <f t="shared" si="0"/>
        <v>2451360</v>
      </c>
      <c r="G11" s="14">
        <v>24</v>
      </c>
      <c r="H11" s="14">
        <v>730</v>
      </c>
      <c r="I11" s="8" t="s">
        <v>36</v>
      </c>
      <c r="J11" s="15"/>
      <c r="K11" s="16" t="str">
        <f t="shared" si="1"/>
        <v/>
      </c>
      <c r="L11" s="17"/>
      <c r="M11" s="18" t="str">
        <f t="shared" si="2"/>
        <v/>
      </c>
      <c r="N11" s="16">
        <v>0.81599999999999995</v>
      </c>
      <c r="O11" s="18">
        <f>ROUND(IF(C11="nd.",B11*N11*G11,(H11*24*C11*N11)/100),2)</f>
        <v>114513.52</v>
      </c>
      <c r="P11" s="16">
        <v>4.0890000000000004</v>
      </c>
      <c r="Q11" s="18">
        <f t="shared" si="3"/>
        <v>100236.11</v>
      </c>
      <c r="R11" s="18">
        <f t="shared" si="4"/>
        <v>214749.63</v>
      </c>
      <c r="S11" s="18" t="str">
        <f t="shared" si="5"/>
        <v/>
      </c>
      <c r="T11" s="18" t="str">
        <f>IF(J11&gt;0,ROUND(S11*1.23,2),"")</f>
        <v/>
      </c>
    </row>
    <row r="12" spans="1:20" ht="37.5" customHeight="1">
      <c r="A12" s="20"/>
      <c r="B12" s="20"/>
      <c r="C12" s="20"/>
      <c r="D12" s="21"/>
      <c r="E12" s="21"/>
      <c r="F12" s="21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2" t="s">
        <v>34</v>
      </c>
      <c r="S12" s="18" t="str">
        <f>IF(SUM(S5:S11)=0,"",SUM(S5:S11))</f>
        <v/>
      </c>
      <c r="T12" s="18" t="str">
        <f>IF(SUM(T5:T11)=0,"",SUM(T5:T11))</f>
        <v/>
      </c>
    </row>
    <row r="13" spans="1:20" ht="38.25" customHeight="1">
      <c r="A13" s="33" t="s">
        <v>39</v>
      </c>
      <c r="B13" s="33"/>
      <c r="C13" s="33"/>
      <c r="D13" s="33"/>
      <c r="E13" s="33"/>
      <c r="F13" s="33"/>
      <c r="G13" s="33"/>
      <c r="H13" s="33"/>
      <c r="I13" s="33"/>
      <c r="J13" s="20"/>
      <c r="K13" s="20"/>
      <c r="L13" s="20"/>
      <c r="M13" s="20"/>
      <c r="N13" s="20"/>
      <c r="O13" s="20"/>
      <c r="P13" s="20"/>
      <c r="Q13" s="20"/>
      <c r="R13" s="23"/>
      <c r="S13" s="20"/>
      <c r="T13" s="20"/>
    </row>
    <row r="14" spans="1:20" ht="15" customHeight="1">
      <c r="A14" s="33" t="s">
        <v>37</v>
      </c>
      <c r="B14" s="33"/>
      <c r="C14" s="33"/>
      <c r="D14" s="33"/>
      <c r="E14" s="33"/>
      <c r="F14" s="33"/>
      <c r="G14" s="33"/>
      <c r="H14" s="33"/>
      <c r="I14" s="33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20">
      <c r="A15" s="25" t="s">
        <v>57</v>
      </c>
    </row>
    <row r="16" spans="1:20">
      <c r="F16" s="24"/>
      <c r="N16" s="24"/>
    </row>
    <row r="17" spans="6:19">
      <c r="F17" s="3"/>
    </row>
    <row r="18" spans="6:19">
      <c r="F18" s="3"/>
    </row>
    <row r="21" spans="6:19" ht="18.75">
      <c r="I21" s="2"/>
      <c r="J21" s="31"/>
      <c r="K21" s="31"/>
      <c r="L21" s="32"/>
      <c r="M21" s="32"/>
    </row>
    <row r="22" spans="6:19">
      <c r="O22" s="5"/>
      <c r="P22" s="6"/>
      <c r="Q22" s="6"/>
    </row>
    <row r="24" spans="6:19">
      <c r="O24" s="29"/>
      <c r="P24" s="29"/>
      <c r="Q24" s="30"/>
      <c r="R24" s="29"/>
      <c r="S24" s="29"/>
    </row>
    <row r="25" spans="6:19">
      <c r="O25" s="28" t="s">
        <v>58</v>
      </c>
      <c r="P25" s="6"/>
      <c r="Q25" s="27"/>
      <c r="R25" s="6"/>
      <c r="S25" s="6"/>
    </row>
    <row r="26" spans="6:19" ht="15.75">
      <c r="O26" s="26"/>
      <c r="Q26" s="4"/>
    </row>
  </sheetData>
  <sheetProtection algorithmName="SHA-512" hashValue="MYuENL/FomYttbNuEDQW47ri9db4dv8w1/2hmAABDG1+G4taXoY7f2oKB2q87z7ba58a2OkdAXiEtb3hGBAMcw==" saltValue="+aV9UVgSkGx34/6gtoMsGg==" spinCount="100000" sheet="1" objects="1" scenarios="1"/>
  <mergeCells count="16">
    <mergeCell ref="N2:R2"/>
    <mergeCell ref="A1:T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1:K21"/>
    <mergeCell ref="L21:M21"/>
    <mergeCell ref="A14:I14"/>
    <mergeCell ref="A13:I13"/>
    <mergeCell ref="J2:M2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55" orientation="landscape" r:id="rId1"/>
  <headerFooter>
    <oddHeader>&amp;L&amp;"-,Pogrubiony"&amp;10ZPiOD.271.21.2025&amp;R&amp;"-,Standardowy"&amp;10Załącznik Nr 1</oddHeader>
    <oddFooter>&amp;C&amp;"-,Pogrubiony"&amp;10Kompleksowa dostawa paliwa gazowego obejmująca sprzedaż i dystrybucję dla obiektów stanowiących własność Gminy Krynicy-Zdroju na lata 2026 - 2027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Syjud</dc:creator>
  <cp:lastModifiedBy>Tomasz Syjud</cp:lastModifiedBy>
  <cp:lastPrinted>2025-11-05T13:33:24Z</cp:lastPrinted>
  <dcterms:created xsi:type="dcterms:W3CDTF">2019-10-08T05:46:24Z</dcterms:created>
  <dcterms:modified xsi:type="dcterms:W3CDTF">2025-11-07T07:09:38Z</dcterms:modified>
</cp:coreProperties>
</file>